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995" windowHeight="12210" activeTab="0"/>
  </bookViews>
  <sheets>
    <sheet name="Mit Budgetbetrachtung" sheetId="1" r:id="rId1"/>
  </sheets>
  <definedNames/>
  <calcPr fullCalcOnLoad="1"/>
</workbook>
</file>

<file path=xl/comments1.xml><?xml version="1.0" encoding="utf-8"?>
<comments xmlns="http://schemas.openxmlformats.org/spreadsheetml/2006/main">
  <authors>
    <author>Jens Hofer</author>
  </authors>
  <commentList>
    <comment ref="J47" authorId="0">
      <text>
        <r>
          <rPr>
            <b/>
            <sz val="9"/>
            <rFont val="Segoe UI"/>
            <family val="0"/>
          </rPr>
          <t xml:space="preserve">In diesen Zellen können Sie alternative Werte ausprobieren. Der Punktwert darf höchstens </t>
        </r>
        <r>
          <rPr>
            <b/>
            <u val="single"/>
            <sz val="9"/>
            <rFont val="Segoe UI"/>
            <family val="2"/>
          </rPr>
          <t xml:space="preserve">fünfstellig </t>
        </r>
        <r>
          <rPr>
            <b/>
            <sz val="9"/>
            <rFont val="Segoe UI"/>
            <family val="0"/>
          </rPr>
          <t xml:space="preserve">sein. Die Pauschalen LK 15 und LK 15a dürfen höchstens </t>
        </r>
        <r>
          <rPr>
            <b/>
            <u val="single"/>
            <sz val="9"/>
            <rFont val="Segoe UI"/>
            <family val="2"/>
          </rPr>
          <t>zweistellig</t>
        </r>
        <r>
          <rPr>
            <b/>
            <sz val="9"/>
            <rFont val="Segoe UI"/>
            <family val="0"/>
          </rPr>
          <t xml:space="preserve"> sein. Wenn die von den Pflegekassen akzeptierte Budgetsteigerung überschritten wird, färben sich diese Zellen rot. Bitte probieren Sie verschiedene Kombinationen des Punktwertes und der Pauschalen LK 15 und LK 15a aus.
In der Zelle J51 sehen Sie die erreichte Budgetsteigerung. Solange dieser Wert kleiner ist als die "maximale Steigerung", wird er von den Pflegekassen akzeptiert.
Durch Ausprobieren sollten Sie versuchen, möglichst nah an die "maximale Steigerung" heran zu kommen.</t>
        </r>
      </text>
    </comment>
    <comment ref="J51" authorId="0">
      <text>
        <r>
          <rPr>
            <b/>
            <sz val="9"/>
            <rFont val="Segoe UI"/>
            <family val="2"/>
          </rPr>
          <t>Auch wenn unter "angepasste Forderung" kein Wert eingetragen ist, kann es passieren, dass an dieser Stelle ein anderer Wert als -100% steht. 
Das hängt von den Eintragungen unter LK "17, 17a, 17c" und "17b" ab. Wenn hier Angaben zur Häufigkeit gemacht werden, werden diese automatisch mit 21 bzw. 31 Euro für das Jahr 2014 multipliziert und im Gesamtbudget berücksichtigt. Diese Pauschalen sind nicht Bestandteil der Verhandlung, da sie im Gesetz festgelegt sind.</t>
        </r>
      </text>
    </comment>
    <comment ref="C60" authorId="0">
      <text>
        <r>
          <rPr>
            <b/>
            <sz val="9"/>
            <rFont val="Segoe UI"/>
            <family val="0"/>
          </rPr>
          <t>Hier können Sie auch andere Mindestbindungsfristen in Monaten eintragen, z. B. 21 Monate. Das sollten Sie aber nur dann machen, wenn Ihre früheste Kündigungsmöglichkeit vom 31.12. des jeweiligen Jahres abweicht - z. B. zum 31.03. und Sie möchten zum 01.01. des folgenden Jahres eine neue Vergütungen verhandeln. Hinweis: weniger als 19Monaten bitte lieber 12 Monate mit 2,80% Prozent verhandeln.</t>
        </r>
      </text>
    </comment>
  </commentList>
</comments>
</file>

<file path=xl/sharedStrings.xml><?xml version="1.0" encoding="utf-8"?>
<sst xmlns="http://schemas.openxmlformats.org/spreadsheetml/2006/main" count="138" uniqueCount="121">
  <si>
    <t>Ganzwaschung</t>
  </si>
  <si>
    <t>Teilwaschung</t>
  </si>
  <si>
    <t>Ausscheidungen</t>
  </si>
  <si>
    <t>selbst. Nahrungsaufn.</t>
  </si>
  <si>
    <t>Hilfe Nahrungsaufn.</t>
  </si>
  <si>
    <t>Sondenern. (PEG)</t>
  </si>
  <si>
    <t>Mobilisation</t>
  </si>
  <si>
    <t>Behördeng. Arztbes.</t>
  </si>
  <si>
    <t>Beheizen</t>
  </si>
  <si>
    <t>Einkaufen</t>
  </si>
  <si>
    <t>Zubereitung warme Sp.</t>
  </si>
  <si>
    <t>Reinigung Wohnung</t>
  </si>
  <si>
    <t>Wäsche</t>
  </si>
  <si>
    <t>Hausbes.-pauschale</t>
  </si>
  <si>
    <t>erhöhte Besuchsp.</t>
  </si>
  <si>
    <t>Erstgespräch</t>
  </si>
  <si>
    <t>Beratungsbesuch III</t>
  </si>
  <si>
    <t>Große Grundpflege 1</t>
  </si>
  <si>
    <t>Kleine Grundpflege 1</t>
  </si>
  <si>
    <t>Kleine Grundpflege 2</t>
  </si>
  <si>
    <t>Große hausw. Vers.</t>
  </si>
  <si>
    <t>Große Grundpflege 3</t>
  </si>
  <si>
    <t>Große Grundpflege 4</t>
  </si>
  <si>
    <t>Kleine Grundpflege 3</t>
  </si>
  <si>
    <t>Kleine pfleg. Hilfest.1</t>
  </si>
  <si>
    <t>Kleine pfleg. Hilfest. 2</t>
  </si>
  <si>
    <t>Kleine pfleg. Hilfest. 3</t>
  </si>
  <si>
    <t>Kleine pfleg. Hilfest. 4</t>
  </si>
  <si>
    <t>Forderung</t>
  </si>
  <si>
    <t>Beratungsbesuch 0 / I / II</t>
  </si>
  <si>
    <t>Vereinbarung gemäß § 89 SGB XI über die Vergütung ambulanter Pflegeleistungen in Nordrhein-Westfalen</t>
  </si>
  <si>
    <t>Prozentwert:</t>
  </si>
  <si>
    <t>Prozentsteigerung gesamt</t>
  </si>
  <si>
    <t>Prozentsteigerung gerundet</t>
  </si>
  <si>
    <t>auf zwei Stellen</t>
  </si>
  <si>
    <t>Monaten</t>
  </si>
  <si>
    <t>bei mindestens</t>
  </si>
  <si>
    <t>LK 15</t>
  </si>
  <si>
    <t xml:space="preserve">Punktwert </t>
  </si>
  <si>
    <t>LK 15a</t>
  </si>
  <si>
    <t>15 a</t>
  </si>
  <si>
    <t>17, 17a,17c</t>
  </si>
  <si>
    <t>17 b</t>
  </si>
  <si>
    <t>gesamt</t>
  </si>
  <si>
    <t>Bitte mit Hilfe der Software die Anzahl der LKs</t>
  </si>
  <si>
    <t>in der Zeit vom:</t>
  </si>
  <si>
    <t>bis zum:</t>
  </si>
  <si>
    <t>Einzelpreis</t>
  </si>
  <si>
    <t>Punktevolumen</t>
  </si>
  <si>
    <t>Umsatzvolumen</t>
  </si>
  <si>
    <t>Hilfsspalten</t>
  </si>
  <si>
    <t>Vorschlag</t>
  </si>
  <si>
    <t>bisherig</t>
  </si>
  <si>
    <t>Kontrolle</t>
  </si>
  <si>
    <t>auswählen</t>
  </si>
  <si>
    <t>x</t>
  </si>
  <si>
    <t xml:space="preserve">Seite 2 § 2 Höhe der Vergütung Abs. 1 (Punktwert) </t>
  </si>
  <si>
    <t>und Abs. 2 (LK 15 und LK 15a)</t>
  </si>
  <si>
    <t>Steigerung</t>
  </si>
  <si>
    <t>Aus der "Vereinbarung gemäß § 89 SGB XI über die Vergütung ambulanter Pflegeleistungen in Nordrhein-Westfalen"</t>
  </si>
  <si>
    <t>eintragen</t>
  </si>
  <si>
    <t>Achtung Budgetsteigerung zu hoch</t>
  </si>
  <si>
    <t>Budgetsteigerung in Ordnung</t>
  </si>
  <si>
    <t>Keine Budgetsteigerung</t>
  </si>
  <si>
    <t>Budgetbetrachtung</t>
  </si>
  <si>
    <t>Einzelpreis ohne Refinanzierung</t>
  </si>
  <si>
    <t>LK1</t>
  </si>
  <si>
    <t>LK2</t>
  </si>
  <si>
    <t>LK3</t>
  </si>
  <si>
    <t>LK4</t>
  </si>
  <si>
    <t>LK5</t>
  </si>
  <si>
    <t>LK6</t>
  </si>
  <si>
    <t>LK7</t>
  </si>
  <si>
    <t>LK8</t>
  </si>
  <si>
    <t>LK9</t>
  </si>
  <si>
    <t>LK10</t>
  </si>
  <si>
    <t>LK11</t>
  </si>
  <si>
    <t>LK12</t>
  </si>
  <si>
    <t>LK13</t>
  </si>
  <si>
    <t>LK14</t>
  </si>
  <si>
    <t>LK15</t>
  </si>
  <si>
    <t>LK 15 a</t>
  </si>
  <si>
    <t>LK16</t>
  </si>
  <si>
    <t xml:space="preserve">LK17 I </t>
  </si>
  <si>
    <t>LK17 III</t>
  </si>
  <si>
    <t>LK 27</t>
  </si>
  <si>
    <t>LK 28</t>
  </si>
  <si>
    <t>LK 30</t>
  </si>
  <si>
    <t>Summen</t>
  </si>
  <si>
    <t>fiktiv Anzahl LK 1 bis LK 14</t>
  </si>
  <si>
    <t>fiktiv davon LK 7</t>
  </si>
  <si>
    <t>in Prozent fiktiv</t>
  </si>
  <si>
    <t>Anzahl Lks ohne 15 und 15a</t>
  </si>
  <si>
    <t>%-Anteil LK 7</t>
  </si>
  <si>
    <t>%-Anteil im Verhältnis zu 15+15a</t>
  </si>
  <si>
    <t>%-Anteil im Verhältnis zu 15</t>
  </si>
  <si>
    <t>an sämtlichen Hausbesuchspauschalen (LK 15 + LK 15a = 100%)</t>
  </si>
  <si>
    <t>mit: Summe sämtl. LKs - ohne 15 +15a (Dieser Wert liegt meist zwischen 0% und 8%)</t>
  </si>
  <si>
    <t>mit: Summe sämtl. LKs in dem LK 7 Bestandteil ist - ohne 15 +15a (dieser Wert liegt meist zwischen 0% und 23%)</t>
  </si>
  <si>
    <t>mit: Summe LK 1 - 14 im Verhältnis zu sämtlichen LKs ohne LK 15, 15a, 16, 17 I/II/III (dieser Wert liegt meist zwischen 40% und 65%)</t>
  </si>
  <si>
    <t>Anteil LK 15 a in %</t>
  </si>
  <si>
    <t>Anteil LK 8 in %</t>
  </si>
  <si>
    <t>Anteil LK 7 in % ?</t>
  </si>
  <si>
    <t>Anteil LK 1 bis LK 14</t>
  </si>
  <si>
    <t>Summe Pat im Durchschnitt</t>
  </si>
  <si>
    <t>01.01.20xx</t>
  </si>
  <si>
    <t>31.12.20xx</t>
  </si>
  <si>
    <t>dann liegt die Summe LK 15 und LK 15a erwartungsgemäß</t>
  </si>
  <si>
    <t>zwischen</t>
  </si>
  <si>
    <t>und</t>
  </si>
  <si>
    <t>Einsätzen im Jahr</t>
  </si>
  <si>
    <t>ohne Refinanzierung</t>
  </si>
  <si>
    <t>Punktwert</t>
  </si>
  <si>
    <t>Kleine Grundpflege 4</t>
  </si>
  <si>
    <t>Große Grundpflege 2</t>
  </si>
  <si>
    <t>Lagern / Betten</t>
  </si>
  <si>
    <t>bitte</t>
  </si>
  <si>
    <t>maximale</t>
  </si>
  <si>
    <t>angepasste</t>
  </si>
  <si>
    <t>mit Budgetbetrachtung ohne Anlage 1 und 12 Monaten Mindestbindung</t>
  </si>
  <si>
    <t>mit Budgetbetrachtung mit Anlage 1 und 12 Monaten Mindestbindung</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</si>
</sst>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dd/mm/yy;@"/>
    <numFmt numFmtId="166" formatCode="0.000%"/>
    <numFmt numFmtId="167" formatCode="0.0000%"/>
    <numFmt numFmtId="168" formatCode="0.000000%"/>
    <numFmt numFmtId="169" formatCode="#,##0.00000\ &quot;€&quot;"/>
    <numFmt numFmtId="170" formatCode="#,##0.00\ &quot;€&quot;"/>
    <numFmt numFmtId="171" formatCode="#,##0.000"/>
    <numFmt numFmtId="172" formatCode="#,##0.000000\ &quot;€&quot;"/>
  </numFmts>
  <fonts count="42">
    <font>
      <sz val="10"/>
      <name val="Arial"/>
      <family val="0"/>
    </font>
    <font>
      <sz val="11"/>
      <color indexed="8"/>
      <name val="Calibri"/>
      <family val="2"/>
    </font>
    <font>
      <b/>
      <sz val="10"/>
      <name val="Arial"/>
      <family val="2"/>
    </font>
    <font>
      <sz val="8"/>
      <name val="Arial"/>
      <family val="2"/>
    </font>
    <font>
      <b/>
      <sz val="9"/>
      <name val="Segoe UI"/>
      <family val="0"/>
    </font>
    <font>
      <b/>
      <u val="single"/>
      <sz val="9"/>
      <name val="Segoe U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9"/>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theme="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92D050"/>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6" borderId="2" applyNumberFormat="0" applyAlignment="0" applyProtection="0"/>
    <xf numFmtId="41" fontId="0" fillId="0" borderId="0" applyFont="0" applyFill="0" applyBorder="0" applyAlignment="0" applyProtection="0"/>
    <xf numFmtId="0" fontId="27" fillId="27"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164" fontId="0" fillId="0" borderId="0" applyFont="0" applyFill="0" applyBorder="0" applyAlignment="0" applyProtection="0"/>
    <xf numFmtId="0" fontId="30" fillId="28" borderId="0" applyNumberFormat="0" applyBorder="0" applyAlignment="0" applyProtection="0"/>
    <xf numFmtId="43"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2" fillId="31"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32" borderId="9" applyNumberFormat="0" applyAlignment="0" applyProtection="0"/>
  </cellStyleXfs>
  <cellXfs count="52">
    <xf numFmtId="0" fontId="0" fillId="0" borderId="0" xfId="0" applyAlignment="1">
      <alignment/>
    </xf>
    <xf numFmtId="0" fontId="0" fillId="0" borderId="0" xfId="0" applyAlignment="1" applyProtection="1">
      <alignment/>
      <protection/>
    </xf>
    <xf numFmtId="0" fontId="0" fillId="0" borderId="10" xfId="0" applyFont="1" applyFill="1" applyBorder="1" applyAlignment="1" applyProtection="1">
      <alignment/>
      <protection/>
    </xf>
    <xf numFmtId="0" fontId="0" fillId="0" borderId="0" xfId="0" applyFont="1" applyAlignment="1">
      <alignment/>
    </xf>
    <xf numFmtId="3" fontId="0" fillId="33" borderId="10" xfId="0" applyNumberFormat="1" applyFont="1" applyFill="1" applyBorder="1" applyAlignment="1" applyProtection="1">
      <alignment/>
      <protection locked="0"/>
    </xf>
    <xf numFmtId="0" fontId="0" fillId="33" borderId="10" xfId="0" applyFont="1" applyFill="1" applyBorder="1" applyAlignment="1" applyProtection="1">
      <alignment horizontal="center"/>
      <protection locked="0"/>
    </xf>
    <xf numFmtId="0" fontId="0" fillId="0" borderId="10" xfId="0" applyFont="1" applyBorder="1" applyAlignment="1" applyProtection="1">
      <alignment/>
      <protection/>
    </xf>
    <xf numFmtId="171" fontId="0" fillId="0" borderId="10" xfId="0" applyNumberFormat="1" applyFont="1" applyFill="1" applyBorder="1" applyAlignment="1" applyProtection="1">
      <alignment/>
      <protection/>
    </xf>
    <xf numFmtId="0" fontId="0" fillId="0" borderId="10" xfId="0" applyFont="1" applyBorder="1" applyAlignment="1" applyProtection="1">
      <alignment horizontal="right"/>
      <protection/>
    </xf>
    <xf numFmtId="4" fontId="0" fillId="0" borderId="10" xfId="0" applyNumberFormat="1" applyFont="1" applyFill="1" applyBorder="1" applyAlignment="1" applyProtection="1">
      <alignment/>
      <protection/>
    </xf>
    <xf numFmtId="0" fontId="0" fillId="0" borderId="0" xfId="0" applyFont="1" applyAlignment="1" applyProtection="1">
      <alignment/>
      <protection/>
    </xf>
    <xf numFmtId="3" fontId="0" fillId="0" borderId="0" xfId="0" applyNumberFormat="1" applyFont="1" applyAlignment="1" applyProtection="1">
      <alignment/>
      <protection/>
    </xf>
    <xf numFmtId="169" fontId="0" fillId="33" borderId="10" xfId="0" applyNumberFormat="1" applyFont="1" applyFill="1" applyBorder="1" applyAlignment="1" applyProtection="1">
      <alignment/>
      <protection locked="0"/>
    </xf>
    <xf numFmtId="170" fontId="0" fillId="33" borderId="10" xfId="0" applyNumberFormat="1" applyFont="1" applyFill="1" applyBorder="1" applyAlignment="1" applyProtection="1">
      <alignment/>
      <protection locked="0"/>
    </xf>
    <xf numFmtId="0" fontId="3" fillId="0" borderId="11" xfId="0" applyFont="1" applyBorder="1" applyAlignment="1" applyProtection="1">
      <alignment/>
      <protection/>
    </xf>
    <xf numFmtId="0" fontId="3" fillId="0" borderId="12" xfId="0" applyFont="1" applyBorder="1" applyAlignment="1" applyProtection="1">
      <alignment/>
      <protection/>
    </xf>
    <xf numFmtId="0" fontId="0" fillId="33" borderId="10" xfId="0" applyFill="1" applyBorder="1" applyAlignment="1" applyProtection="1">
      <alignment/>
      <protection locked="0"/>
    </xf>
    <xf numFmtId="1" fontId="40" fillId="0" borderId="0" xfId="0" applyNumberFormat="1" applyFont="1" applyAlignment="1" applyProtection="1">
      <alignment/>
      <protection/>
    </xf>
    <xf numFmtId="3" fontId="40" fillId="0" borderId="0" xfId="0" applyNumberFormat="1" applyFont="1" applyAlignment="1" applyProtection="1">
      <alignment/>
      <protection/>
    </xf>
    <xf numFmtId="10" fontId="40" fillId="0" borderId="0" xfId="50" applyNumberFormat="1" applyFont="1" applyAlignment="1" applyProtection="1">
      <alignment/>
      <protection/>
    </xf>
    <xf numFmtId="0" fontId="40" fillId="0" borderId="0" xfId="0" applyFont="1" applyAlignment="1" applyProtection="1">
      <alignment/>
      <protection/>
    </xf>
    <xf numFmtId="1" fontId="40" fillId="0" borderId="0" xfId="50" applyNumberFormat="1" applyFont="1" applyAlignment="1" applyProtection="1">
      <alignment/>
      <protection/>
    </xf>
    <xf numFmtId="0" fontId="40" fillId="0" borderId="0" xfId="0" applyFont="1" applyBorder="1" applyAlignment="1" applyProtection="1">
      <alignment/>
      <protection/>
    </xf>
    <xf numFmtId="0" fontId="0" fillId="0" borderId="0" xfId="0" applyFont="1" applyFill="1" applyAlignment="1" applyProtection="1">
      <alignment/>
      <protection/>
    </xf>
    <xf numFmtId="169" fontId="40" fillId="0" borderId="0" xfId="0" applyNumberFormat="1" applyFont="1" applyBorder="1" applyAlignment="1" applyProtection="1">
      <alignment/>
      <protection/>
    </xf>
    <xf numFmtId="165" fontId="0" fillId="0" borderId="0" xfId="0" applyNumberFormat="1" applyFont="1" applyFill="1" applyAlignment="1" applyProtection="1">
      <alignment/>
      <protection/>
    </xf>
    <xf numFmtId="170" fontId="40" fillId="0" borderId="0" xfId="0" applyNumberFormat="1" applyFont="1" applyBorder="1" applyAlignment="1" applyProtection="1">
      <alignment/>
      <protection/>
    </xf>
    <xf numFmtId="14" fontId="40" fillId="0" borderId="0" xfId="0" applyNumberFormat="1" applyFont="1" applyAlignment="1" applyProtection="1">
      <alignment/>
      <protection/>
    </xf>
    <xf numFmtId="2" fontId="40" fillId="0" borderId="0" xfId="0" applyNumberFormat="1" applyFont="1" applyAlignment="1" applyProtection="1">
      <alignment/>
      <protection/>
    </xf>
    <xf numFmtId="14" fontId="0" fillId="0" borderId="0" xfId="0" applyNumberFormat="1" applyFont="1" applyAlignment="1" applyProtection="1">
      <alignment/>
      <protection/>
    </xf>
    <xf numFmtId="170" fontId="0" fillId="0" borderId="0" xfId="0" applyNumberFormat="1" applyFont="1" applyAlignment="1" applyProtection="1">
      <alignment/>
      <protection/>
    </xf>
    <xf numFmtId="170" fontId="40" fillId="0" borderId="0" xfId="0" applyNumberFormat="1" applyFont="1" applyAlignment="1" applyProtection="1">
      <alignment/>
      <protection/>
    </xf>
    <xf numFmtId="4" fontId="40" fillId="0" borderId="0" xfId="0" applyNumberFormat="1" applyFont="1" applyAlignment="1" applyProtection="1">
      <alignment/>
      <protection/>
    </xf>
    <xf numFmtId="10" fontId="0" fillId="0" borderId="0" xfId="0" applyNumberFormat="1" applyFont="1" applyAlignment="1" applyProtection="1">
      <alignment/>
      <protection/>
    </xf>
    <xf numFmtId="166" fontId="0" fillId="0" borderId="0" xfId="50" applyNumberFormat="1" applyFont="1" applyAlignment="1" applyProtection="1">
      <alignment/>
      <protection/>
    </xf>
    <xf numFmtId="0" fontId="0" fillId="0" borderId="0" xfId="0" applyFont="1" applyFill="1" applyBorder="1" applyAlignment="1" applyProtection="1">
      <alignment/>
      <protection/>
    </xf>
    <xf numFmtId="0" fontId="40" fillId="0" borderId="0" xfId="0" applyFont="1" applyFill="1" applyAlignment="1" applyProtection="1">
      <alignment/>
      <protection/>
    </xf>
    <xf numFmtId="0" fontId="0" fillId="0" borderId="11" xfId="0" applyFont="1" applyBorder="1" applyAlignment="1" applyProtection="1">
      <alignment/>
      <protection/>
    </xf>
    <xf numFmtId="10" fontId="0" fillId="0" borderId="0" xfId="50" applyNumberFormat="1" applyFont="1" applyAlignment="1" applyProtection="1">
      <alignment/>
      <protection/>
    </xf>
    <xf numFmtId="167" fontId="40" fillId="0" borderId="0" xfId="0" applyNumberFormat="1" applyFont="1" applyAlignment="1" applyProtection="1">
      <alignment/>
      <protection/>
    </xf>
    <xf numFmtId="168" fontId="40" fillId="0" borderId="0" xfId="50" applyNumberFormat="1" applyFont="1" applyAlignment="1" applyProtection="1">
      <alignment/>
      <protection/>
    </xf>
    <xf numFmtId="169" fontId="0" fillId="0" borderId="0" xfId="0" applyNumberFormat="1" applyFont="1" applyAlignment="1" applyProtection="1">
      <alignment/>
      <protection/>
    </xf>
    <xf numFmtId="169" fontId="0" fillId="0" borderId="10" xfId="0" applyNumberFormat="1" applyFont="1" applyBorder="1" applyAlignment="1" applyProtection="1">
      <alignment/>
      <protection/>
    </xf>
    <xf numFmtId="170" fontId="0" fillId="0" borderId="10" xfId="0" applyNumberFormat="1" applyFont="1" applyBorder="1" applyAlignment="1" applyProtection="1">
      <alignment/>
      <protection/>
    </xf>
    <xf numFmtId="167" fontId="0" fillId="0" borderId="0" xfId="0" applyNumberFormat="1" applyFont="1" applyAlignment="1" applyProtection="1">
      <alignment/>
      <protection/>
    </xf>
    <xf numFmtId="168" fontId="0" fillId="0" borderId="0" xfId="0" applyNumberFormat="1" applyFont="1" applyAlignment="1" applyProtection="1">
      <alignment/>
      <protection/>
    </xf>
    <xf numFmtId="168" fontId="0" fillId="0" borderId="0" xfId="50" applyNumberFormat="1" applyFont="1" applyAlignment="1" applyProtection="1">
      <alignment/>
      <protection/>
    </xf>
    <xf numFmtId="172" fontId="0" fillId="0" borderId="0" xfId="0" applyNumberFormat="1" applyFont="1" applyAlignment="1" applyProtection="1">
      <alignment/>
      <protection/>
    </xf>
    <xf numFmtId="0" fontId="0" fillId="33" borderId="10" xfId="0" applyFont="1" applyFill="1" applyBorder="1" applyAlignment="1" applyProtection="1">
      <alignment/>
      <protection locked="0"/>
    </xf>
    <xf numFmtId="0" fontId="0" fillId="0" borderId="0" xfId="0" applyAlignment="1" applyProtection="1">
      <alignment horizontal="right"/>
      <protection/>
    </xf>
    <xf numFmtId="172" fontId="0" fillId="33" borderId="10" xfId="0" applyNumberFormat="1" applyFont="1" applyFill="1" applyBorder="1" applyAlignment="1" applyProtection="1">
      <alignment/>
      <protection locked="0"/>
    </xf>
    <xf numFmtId="0" fontId="2" fillId="0" borderId="0" xfId="0" applyFont="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6">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67"/>
  <sheetViews>
    <sheetView tabSelected="1" zoomScalePageLayoutView="0" workbookViewId="0" topLeftCell="A14">
      <selection activeCell="J50" sqref="J50"/>
    </sheetView>
  </sheetViews>
  <sheetFormatPr defaultColWidth="11.421875" defaultRowHeight="12.75"/>
  <cols>
    <col min="1" max="1" width="14.00390625" style="10" customWidth="1"/>
    <col min="2" max="6" width="11.421875" style="10" customWidth="1"/>
    <col min="7" max="7" width="14.421875" style="10" customWidth="1"/>
    <col min="8" max="8" width="9.8515625" style="10" customWidth="1"/>
    <col min="9" max="9" width="22.140625" style="10" customWidth="1"/>
    <col min="10" max="10" width="17.8515625" style="10" customWidth="1"/>
    <col min="11" max="11" width="8.140625" style="10" customWidth="1"/>
    <col min="12" max="14" width="11.421875" style="10" customWidth="1"/>
    <col min="15" max="15" width="11.421875" style="20" customWidth="1"/>
    <col min="16" max="16" width="11.7109375" style="20" bestFit="1" customWidth="1"/>
    <col min="17" max="17" width="30.140625" style="20" customWidth="1"/>
    <col min="18" max="19" width="11.421875" style="20" customWidth="1"/>
    <col min="20" max="20" width="15.00390625" style="20" customWidth="1"/>
    <col min="21" max="22" width="11.421875" style="20" customWidth="1"/>
    <col min="23" max="23" width="14.00390625" style="20" customWidth="1"/>
    <col min="24" max="25" width="11.421875" style="20" customWidth="1"/>
    <col min="26" max="26" width="14.00390625" style="20" customWidth="1"/>
    <col min="27" max="27" width="22.8515625" style="20" customWidth="1"/>
    <col min="28" max="28" width="32.8515625" style="20" customWidth="1"/>
    <col min="29" max="55" width="11.421875" style="17" customWidth="1"/>
    <col min="56" max="64" width="11.421875" style="20" customWidth="1"/>
    <col min="65" max="16384" width="11.421875" style="10" customWidth="1"/>
  </cols>
  <sheetData>
    <row r="1" spans="1:25" ht="12.75">
      <c r="A1" s="51" t="s">
        <v>59</v>
      </c>
      <c r="B1" s="51"/>
      <c r="C1" s="51"/>
      <c r="D1" s="51"/>
      <c r="E1" s="51"/>
      <c r="F1" s="51"/>
      <c r="G1" s="51"/>
      <c r="H1" s="51"/>
      <c r="I1" s="51"/>
      <c r="J1" s="51"/>
      <c r="K1" s="51"/>
      <c r="O1" s="20" t="s">
        <v>55</v>
      </c>
      <c r="Y1" s="22"/>
    </row>
    <row r="2" spans="3:25" ht="12.75">
      <c r="C2" s="23"/>
      <c r="D2" s="23"/>
      <c r="E2" s="23"/>
      <c r="F2" s="23"/>
      <c r="G2" s="23"/>
      <c r="H2" s="23"/>
      <c r="I2" s="23"/>
      <c r="V2" s="20">
        <f>IF(W61=1,ROUND(B5*(1+H$56),5),IF(W61=2,ROUND(B5*(1+H$58),5),IF(W61=3,ROUND(B5*(1+H$60),5),B5)))</f>
        <v>0</v>
      </c>
      <c r="Y2" s="24">
        <f>J47</f>
        <v>0</v>
      </c>
    </row>
    <row r="3" spans="1:25" ht="12.75">
      <c r="A3" s="10" t="s">
        <v>56</v>
      </c>
      <c r="C3" s="23"/>
      <c r="D3" s="23"/>
      <c r="E3" s="10" t="s">
        <v>57</v>
      </c>
      <c r="F3" s="23"/>
      <c r="G3" s="23"/>
      <c r="H3" s="23"/>
      <c r="I3" s="25"/>
      <c r="R3" s="20" t="s">
        <v>50</v>
      </c>
      <c r="V3" s="20">
        <f>IF(W61=1,ROUND(F5*(1+H$56),2),IF(W61=2,ROUND(F5*(1+H$58),2),IF(W61=3,ROUND(F5*(1+H$60),2),F5)))</f>
        <v>0</v>
      </c>
      <c r="Y3" s="26">
        <f>J48</f>
        <v>0</v>
      </c>
    </row>
    <row r="4" spans="3:25" ht="12.75">
      <c r="C4" s="23"/>
      <c r="D4" s="23"/>
      <c r="E4" s="23"/>
      <c r="F4" s="23"/>
      <c r="G4" s="25"/>
      <c r="H4" s="23"/>
      <c r="I4" s="23"/>
      <c r="P4" s="27"/>
      <c r="V4" s="28">
        <f>IF(W61=1,ROUND(H5*(1+H$56),2),IF(W61=2,ROUND(H5*(1+H$58),2),IF(W61=3,ROUND(H5*(1+H$60),2),H5)))</f>
        <v>0</v>
      </c>
      <c r="Y4" s="26">
        <f>J49</f>
        <v>0</v>
      </c>
    </row>
    <row r="5" spans="1:25" ht="12.75">
      <c r="A5" s="10" t="s">
        <v>38</v>
      </c>
      <c r="B5" s="12"/>
      <c r="C5" s="10" t="s">
        <v>111</v>
      </c>
      <c r="E5" s="10" t="s">
        <v>37</v>
      </c>
      <c r="F5" s="13"/>
      <c r="G5" s="10" t="s">
        <v>39</v>
      </c>
      <c r="H5" s="13"/>
      <c r="P5" s="27"/>
      <c r="Y5" s="22"/>
    </row>
    <row r="6" ht="12.75">
      <c r="P6" s="27"/>
    </row>
    <row r="7" spans="1:16" ht="12.75">
      <c r="A7" s="10" t="s">
        <v>44</v>
      </c>
      <c r="P7" s="27"/>
    </row>
    <row r="8" spans="1:16" ht="12.75">
      <c r="A8" s="10" t="s">
        <v>45</v>
      </c>
      <c r="B8" s="29" t="s">
        <v>105</v>
      </c>
      <c r="C8" s="10" t="s">
        <v>46</v>
      </c>
      <c r="D8" s="29" t="s">
        <v>106</v>
      </c>
      <c r="E8" s="29" t="s">
        <v>60</v>
      </c>
      <c r="F8" s="10" t="s">
        <v>65</v>
      </c>
      <c r="P8" s="27"/>
    </row>
    <row r="9" spans="1:54" ht="12.75">
      <c r="A9" s="6">
        <v>1</v>
      </c>
      <c r="B9" s="14" t="s">
        <v>0</v>
      </c>
      <c r="C9" s="15"/>
      <c r="D9" s="2">
        <v>410</v>
      </c>
      <c r="E9" s="4"/>
      <c r="F9" s="30">
        <f aca="true" t="shared" si="0" ref="F9:F22">ROUND(B$5*D9,2)</f>
        <v>0</v>
      </c>
      <c r="T9" s="20" t="s">
        <v>49</v>
      </c>
      <c r="V9" s="20" t="s">
        <v>47</v>
      </c>
      <c r="W9" s="20" t="s">
        <v>49</v>
      </c>
      <c r="Y9" s="20" t="s">
        <v>47</v>
      </c>
      <c r="Z9" s="20" t="s">
        <v>49</v>
      </c>
      <c r="AE9" s="17" t="s">
        <v>66</v>
      </c>
      <c r="AF9" s="17" t="s">
        <v>67</v>
      </c>
      <c r="AG9" s="17" t="s">
        <v>68</v>
      </c>
      <c r="AH9" s="17" t="s">
        <v>69</v>
      </c>
      <c r="AI9" s="17" t="s">
        <v>70</v>
      </c>
      <c r="AJ9" s="17" t="s">
        <v>71</v>
      </c>
      <c r="AK9" s="17" t="s">
        <v>72</v>
      </c>
      <c r="AL9" s="17" t="s">
        <v>73</v>
      </c>
      <c r="AM9" s="17" t="s">
        <v>74</v>
      </c>
      <c r="AN9" s="17" t="s">
        <v>75</v>
      </c>
      <c r="AO9" s="17" t="s">
        <v>76</v>
      </c>
      <c r="AP9" s="17" t="s">
        <v>77</v>
      </c>
      <c r="AQ9" s="17" t="s">
        <v>78</v>
      </c>
      <c r="AR9" s="17" t="s">
        <v>79</v>
      </c>
      <c r="AS9" s="17" t="s">
        <v>80</v>
      </c>
      <c r="AT9" s="17" t="s">
        <v>81</v>
      </c>
      <c r="AU9" s="17" t="s">
        <v>82</v>
      </c>
      <c r="AV9" s="17" t="s">
        <v>83</v>
      </c>
      <c r="AX9" s="17" t="s">
        <v>84</v>
      </c>
      <c r="AZ9" s="17" t="s">
        <v>85</v>
      </c>
      <c r="BA9" s="17" t="s">
        <v>86</v>
      </c>
      <c r="BB9" s="17" t="s">
        <v>87</v>
      </c>
    </row>
    <row r="10" spans="1:26" ht="12.75">
      <c r="A10" s="6">
        <v>2</v>
      </c>
      <c r="B10" s="14" t="s">
        <v>1</v>
      </c>
      <c r="C10" s="15"/>
      <c r="D10" s="2">
        <v>220</v>
      </c>
      <c r="E10" s="4"/>
      <c r="F10" s="30">
        <f t="shared" si="0"/>
        <v>0</v>
      </c>
      <c r="R10" s="20" t="s">
        <v>48</v>
      </c>
      <c r="T10" s="20" t="s">
        <v>52</v>
      </c>
      <c r="V10" s="20" t="s">
        <v>51</v>
      </c>
      <c r="W10" s="20" t="s">
        <v>51</v>
      </c>
      <c r="Y10" s="20" t="s">
        <v>28</v>
      </c>
      <c r="Z10" s="20" t="s">
        <v>28</v>
      </c>
    </row>
    <row r="11" spans="1:31" ht="12.75">
      <c r="A11" s="6">
        <v>3</v>
      </c>
      <c r="B11" s="14" t="s">
        <v>2</v>
      </c>
      <c r="C11" s="15"/>
      <c r="D11" s="2">
        <v>100</v>
      </c>
      <c r="E11" s="4"/>
      <c r="F11" s="30">
        <f t="shared" si="0"/>
        <v>0</v>
      </c>
      <c r="R11" s="18">
        <f aca="true" t="shared" si="1" ref="R11:R24">D9*E9</f>
        <v>0</v>
      </c>
      <c r="S11" s="31"/>
      <c r="T11" s="31">
        <f aca="true" t="shared" si="2" ref="T11:T42">E9*F9</f>
        <v>0</v>
      </c>
      <c r="V11" s="31">
        <f aca="true" t="shared" si="3" ref="V11:V24">ROUND(V$2*D9,2)</f>
        <v>0</v>
      </c>
      <c r="W11" s="32">
        <f aca="true" t="shared" si="4" ref="W11:W42">V11*E9</f>
        <v>0</v>
      </c>
      <c r="Y11" s="31">
        <f aca="true" t="shared" si="5" ref="Y11:Y24">ROUND(Y$2*D9,2)</f>
        <v>0</v>
      </c>
      <c r="Z11" s="31">
        <f aca="true" t="shared" si="6" ref="Z11:Z42">Y11*E9</f>
        <v>0</v>
      </c>
      <c r="AE11" s="17">
        <f>E9</f>
        <v>0</v>
      </c>
    </row>
    <row r="12" spans="1:32" ht="12.75">
      <c r="A12" s="6">
        <v>4</v>
      </c>
      <c r="B12" s="14" t="s">
        <v>3</v>
      </c>
      <c r="C12" s="15"/>
      <c r="D12" s="2">
        <v>100</v>
      </c>
      <c r="E12" s="4"/>
      <c r="F12" s="30">
        <f t="shared" si="0"/>
        <v>0</v>
      </c>
      <c r="R12" s="18">
        <f t="shared" si="1"/>
        <v>0</v>
      </c>
      <c r="S12" s="31"/>
      <c r="T12" s="31">
        <f t="shared" si="2"/>
        <v>0</v>
      </c>
      <c r="V12" s="31">
        <f t="shared" si="3"/>
        <v>0</v>
      </c>
      <c r="W12" s="32">
        <f t="shared" si="4"/>
        <v>0</v>
      </c>
      <c r="Y12" s="31">
        <f t="shared" si="5"/>
        <v>0</v>
      </c>
      <c r="Z12" s="31">
        <f t="shared" si="6"/>
        <v>0</v>
      </c>
      <c r="AF12" s="17">
        <f>E10</f>
        <v>0</v>
      </c>
    </row>
    <row r="13" spans="1:33" ht="12.75">
      <c r="A13" s="6">
        <v>5</v>
      </c>
      <c r="B13" s="14" t="s">
        <v>4</v>
      </c>
      <c r="C13" s="15"/>
      <c r="D13" s="2">
        <v>250</v>
      </c>
      <c r="E13" s="4"/>
      <c r="F13" s="30">
        <f t="shared" si="0"/>
        <v>0</v>
      </c>
      <c r="R13" s="18">
        <f t="shared" si="1"/>
        <v>0</v>
      </c>
      <c r="S13" s="31"/>
      <c r="T13" s="31">
        <f t="shared" si="2"/>
        <v>0</v>
      </c>
      <c r="V13" s="31">
        <f t="shared" si="3"/>
        <v>0</v>
      </c>
      <c r="W13" s="32">
        <f t="shared" si="4"/>
        <v>0</v>
      </c>
      <c r="Y13" s="31">
        <f t="shared" si="5"/>
        <v>0</v>
      </c>
      <c r="Z13" s="31">
        <f t="shared" si="6"/>
        <v>0</v>
      </c>
      <c r="AG13" s="17">
        <f>E11</f>
        <v>0</v>
      </c>
    </row>
    <row r="14" spans="1:34" ht="12.75">
      <c r="A14" s="6">
        <v>6</v>
      </c>
      <c r="B14" s="14" t="s">
        <v>5</v>
      </c>
      <c r="C14" s="15"/>
      <c r="D14" s="2">
        <v>100</v>
      </c>
      <c r="E14" s="4"/>
      <c r="F14" s="30">
        <f t="shared" si="0"/>
        <v>0</v>
      </c>
      <c r="R14" s="18">
        <f t="shared" si="1"/>
        <v>0</v>
      </c>
      <c r="S14" s="31"/>
      <c r="T14" s="31">
        <f t="shared" si="2"/>
        <v>0</v>
      </c>
      <c r="V14" s="31">
        <f t="shared" si="3"/>
        <v>0</v>
      </c>
      <c r="W14" s="32">
        <f t="shared" si="4"/>
        <v>0</v>
      </c>
      <c r="Y14" s="31">
        <f t="shared" si="5"/>
        <v>0</v>
      </c>
      <c r="Z14" s="31">
        <f t="shared" si="6"/>
        <v>0</v>
      </c>
      <c r="AH14" s="17">
        <f>E12</f>
        <v>0</v>
      </c>
    </row>
    <row r="15" spans="1:35" ht="12.75">
      <c r="A15" s="6">
        <v>7</v>
      </c>
      <c r="B15" s="14" t="s">
        <v>115</v>
      </c>
      <c r="C15" s="15"/>
      <c r="D15" s="2">
        <v>100</v>
      </c>
      <c r="E15" s="4"/>
      <c r="F15" s="30">
        <f t="shared" si="0"/>
        <v>0</v>
      </c>
      <c r="G15" s="1" t="s">
        <v>102</v>
      </c>
      <c r="H15" s="33">
        <f>AF48</f>
        <v>0</v>
      </c>
      <c r="I15" s="10" t="s">
        <v>98</v>
      </c>
      <c r="R15" s="18">
        <f t="shared" si="1"/>
        <v>0</v>
      </c>
      <c r="S15" s="31"/>
      <c r="T15" s="31">
        <f t="shared" si="2"/>
        <v>0</v>
      </c>
      <c r="V15" s="31">
        <f t="shared" si="3"/>
        <v>0</v>
      </c>
      <c r="W15" s="32">
        <f t="shared" si="4"/>
        <v>0</v>
      </c>
      <c r="Y15" s="31">
        <f t="shared" si="5"/>
        <v>0</v>
      </c>
      <c r="Z15" s="31">
        <f t="shared" si="6"/>
        <v>0</v>
      </c>
      <c r="AI15" s="17">
        <f>E13</f>
        <v>0</v>
      </c>
    </row>
    <row r="16" spans="1:36" ht="12.75">
      <c r="A16" s="6">
        <v>8</v>
      </c>
      <c r="B16" s="14" t="s">
        <v>6</v>
      </c>
      <c r="C16" s="15"/>
      <c r="D16" s="2">
        <v>180</v>
      </c>
      <c r="E16" s="4"/>
      <c r="F16" s="30">
        <f t="shared" si="0"/>
        <v>0</v>
      </c>
      <c r="G16" s="1" t="s">
        <v>101</v>
      </c>
      <c r="H16" s="34">
        <f>IF(AC44=0,0,E16/AC44)</f>
        <v>0</v>
      </c>
      <c r="I16" s="10" t="s">
        <v>97</v>
      </c>
      <c r="R16" s="18">
        <f t="shared" si="1"/>
        <v>0</v>
      </c>
      <c r="S16" s="31"/>
      <c r="T16" s="31">
        <f t="shared" si="2"/>
        <v>0</v>
      </c>
      <c r="V16" s="31">
        <f t="shared" si="3"/>
        <v>0</v>
      </c>
      <c r="W16" s="32">
        <f t="shared" si="4"/>
        <v>0</v>
      </c>
      <c r="Y16" s="31">
        <f t="shared" si="5"/>
        <v>0</v>
      </c>
      <c r="Z16" s="31">
        <f t="shared" si="6"/>
        <v>0</v>
      </c>
      <c r="AJ16" s="17">
        <f>E14</f>
        <v>0</v>
      </c>
    </row>
    <row r="17" spans="1:37" ht="12.75">
      <c r="A17" s="6">
        <v>9</v>
      </c>
      <c r="B17" s="14" t="s">
        <v>7</v>
      </c>
      <c r="C17" s="15"/>
      <c r="D17" s="2">
        <v>360</v>
      </c>
      <c r="E17" s="4"/>
      <c r="F17" s="30">
        <f t="shared" si="0"/>
        <v>0</v>
      </c>
      <c r="R17" s="18">
        <f t="shared" si="1"/>
        <v>0</v>
      </c>
      <c r="S17" s="31"/>
      <c r="T17" s="31">
        <f t="shared" si="2"/>
        <v>0</v>
      </c>
      <c r="V17" s="31">
        <f t="shared" si="3"/>
        <v>0</v>
      </c>
      <c r="W17" s="32">
        <f t="shared" si="4"/>
        <v>0</v>
      </c>
      <c r="Y17" s="31">
        <f t="shared" si="5"/>
        <v>0</v>
      </c>
      <c r="Z17" s="31">
        <f t="shared" si="6"/>
        <v>0</v>
      </c>
      <c r="AC17" s="17">
        <f>E15</f>
        <v>0</v>
      </c>
      <c r="AK17" s="17">
        <f>E15</f>
        <v>0</v>
      </c>
    </row>
    <row r="18" spans="1:38" ht="12.75">
      <c r="A18" s="6">
        <v>10</v>
      </c>
      <c r="B18" s="14" t="s">
        <v>8</v>
      </c>
      <c r="C18" s="15"/>
      <c r="D18" s="2">
        <v>60</v>
      </c>
      <c r="E18" s="4"/>
      <c r="F18" s="30">
        <f t="shared" si="0"/>
        <v>0</v>
      </c>
      <c r="G18" s="30"/>
      <c r="R18" s="18">
        <f t="shared" si="1"/>
        <v>0</v>
      </c>
      <c r="S18" s="31"/>
      <c r="T18" s="31">
        <f t="shared" si="2"/>
        <v>0</v>
      </c>
      <c r="V18" s="31">
        <f t="shared" si="3"/>
        <v>0</v>
      </c>
      <c r="W18" s="32">
        <f t="shared" si="4"/>
        <v>0</v>
      </c>
      <c r="Y18" s="31">
        <f t="shared" si="5"/>
        <v>0</v>
      </c>
      <c r="Z18" s="31">
        <f t="shared" si="6"/>
        <v>0</v>
      </c>
      <c r="AL18" s="17">
        <f>E16</f>
        <v>0</v>
      </c>
    </row>
    <row r="19" spans="1:39" ht="12.75">
      <c r="A19" s="6">
        <v>11</v>
      </c>
      <c r="B19" s="14" t="s">
        <v>9</v>
      </c>
      <c r="C19" s="15"/>
      <c r="D19" s="2">
        <v>150</v>
      </c>
      <c r="E19" s="4"/>
      <c r="F19" s="30">
        <f t="shared" si="0"/>
        <v>0</v>
      </c>
      <c r="G19" s="48"/>
      <c r="H19" s="10" t="s">
        <v>104</v>
      </c>
      <c r="R19" s="18">
        <f t="shared" si="1"/>
        <v>0</v>
      </c>
      <c r="S19" s="31"/>
      <c r="T19" s="31">
        <f t="shared" si="2"/>
        <v>0</v>
      </c>
      <c r="V19" s="31">
        <f t="shared" si="3"/>
        <v>0</v>
      </c>
      <c r="W19" s="32">
        <f t="shared" si="4"/>
        <v>0</v>
      </c>
      <c r="Y19" s="31">
        <f t="shared" si="5"/>
        <v>0</v>
      </c>
      <c r="Z19" s="31">
        <f t="shared" si="6"/>
        <v>0</v>
      </c>
      <c r="AM19" s="17">
        <f>E17</f>
        <v>0</v>
      </c>
    </row>
    <row r="20" spans="1:40" ht="12.75">
      <c r="A20" s="6">
        <v>12</v>
      </c>
      <c r="B20" s="14" t="s">
        <v>10</v>
      </c>
      <c r="C20" s="15"/>
      <c r="D20" s="2">
        <v>150</v>
      </c>
      <c r="E20" s="4"/>
      <c r="F20" s="30">
        <f t="shared" si="0"/>
        <v>0</v>
      </c>
      <c r="H20" s="10" t="s">
        <v>107</v>
      </c>
      <c r="R20" s="18">
        <f t="shared" si="1"/>
        <v>0</v>
      </c>
      <c r="S20" s="31"/>
      <c r="T20" s="31">
        <f t="shared" si="2"/>
        <v>0</v>
      </c>
      <c r="V20" s="31">
        <f t="shared" si="3"/>
        <v>0</v>
      </c>
      <c r="W20" s="32">
        <f t="shared" si="4"/>
        <v>0</v>
      </c>
      <c r="Y20" s="31">
        <f t="shared" si="5"/>
        <v>0</v>
      </c>
      <c r="Z20" s="31">
        <f t="shared" si="6"/>
        <v>0</v>
      </c>
      <c r="AN20" s="17">
        <f>E18</f>
        <v>0</v>
      </c>
    </row>
    <row r="21" spans="1:41" ht="12.75">
      <c r="A21" s="6">
        <v>13</v>
      </c>
      <c r="B21" s="14" t="s">
        <v>11</v>
      </c>
      <c r="C21" s="15"/>
      <c r="D21" s="2">
        <v>540</v>
      </c>
      <c r="E21" s="4"/>
      <c r="F21" s="30">
        <f t="shared" si="0"/>
        <v>0</v>
      </c>
      <c r="H21" s="10" t="s">
        <v>108</v>
      </c>
      <c r="I21" s="11">
        <f>G19*365/2</f>
        <v>0</v>
      </c>
      <c r="J21" s="10" t="s">
        <v>110</v>
      </c>
      <c r="R21" s="18">
        <f t="shared" si="1"/>
        <v>0</v>
      </c>
      <c r="S21" s="31"/>
      <c r="T21" s="31">
        <f t="shared" si="2"/>
        <v>0</v>
      </c>
      <c r="V21" s="31">
        <f t="shared" si="3"/>
        <v>0</v>
      </c>
      <c r="W21" s="32">
        <f t="shared" si="4"/>
        <v>0</v>
      </c>
      <c r="Y21" s="31">
        <f t="shared" si="5"/>
        <v>0</v>
      </c>
      <c r="Z21" s="31">
        <f t="shared" si="6"/>
        <v>0</v>
      </c>
      <c r="AO21" s="17">
        <f>E19</f>
        <v>0</v>
      </c>
    </row>
    <row r="22" spans="1:42" ht="12.75">
      <c r="A22" s="6">
        <v>14</v>
      </c>
      <c r="B22" s="14" t="s">
        <v>12</v>
      </c>
      <c r="C22" s="15"/>
      <c r="D22" s="2">
        <v>360</v>
      </c>
      <c r="E22" s="4"/>
      <c r="F22" s="30">
        <f t="shared" si="0"/>
        <v>0</v>
      </c>
      <c r="H22" s="35" t="s">
        <v>109</v>
      </c>
      <c r="I22" s="11">
        <f>G19*365*1.5</f>
        <v>0</v>
      </c>
      <c r="J22" s="10" t="s">
        <v>110</v>
      </c>
      <c r="R22" s="18">
        <f t="shared" si="1"/>
        <v>0</v>
      </c>
      <c r="S22" s="31"/>
      <c r="T22" s="31">
        <f t="shared" si="2"/>
        <v>0</v>
      </c>
      <c r="V22" s="31">
        <f t="shared" si="3"/>
        <v>0</v>
      </c>
      <c r="W22" s="32">
        <f t="shared" si="4"/>
        <v>0</v>
      </c>
      <c r="Y22" s="31">
        <f t="shared" si="5"/>
        <v>0</v>
      </c>
      <c r="Z22" s="31">
        <f t="shared" si="6"/>
        <v>0</v>
      </c>
      <c r="AP22" s="17">
        <f>E20</f>
        <v>0</v>
      </c>
    </row>
    <row r="23" spans="1:43" ht="12.75">
      <c r="A23" s="6">
        <v>15</v>
      </c>
      <c r="B23" s="14" t="s">
        <v>13</v>
      </c>
      <c r="C23" s="15"/>
      <c r="D23" s="7"/>
      <c r="E23" s="4"/>
      <c r="F23" s="30">
        <f>F5</f>
        <v>0</v>
      </c>
      <c r="G23" s="36">
        <f>IF(H23="",0,1)</f>
        <v>0</v>
      </c>
      <c r="H23" s="37">
        <f>IF(SUM(E9:E22)+SUM(E28:E40)&lt;SUM(E23:E24),"Bitte Anzahl LK 15 und LK 15a überprüfen","")</f>
      </c>
      <c r="R23" s="18">
        <f t="shared" si="1"/>
        <v>0</v>
      </c>
      <c r="S23" s="31"/>
      <c r="T23" s="31">
        <f t="shared" si="2"/>
        <v>0</v>
      </c>
      <c r="V23" s="31">
        <f t="shared" si="3"/>
        <v>0</v>
      </c>
      <c r="W23" s="32">
        <f t="shared" si="4"/>
        <v>0</v>
      </c>
      <c r="Y23" s="31">
        <f t="shared" si="5"/>
        <v>0</v>
      </c>
      <c r="Z23" s="31">
        <f t="shared" si="6"/>
        <v>0</v>
      </c>
      <c r="AQ23" s="17">
        <f>E21</f>
        <v>0</v>
      </c>
    </row>
    <row r="24" spans="1:44" ht="12.75">
      <c r="A24" s="8" t="s">
        <v>40</v>
      </c>
      <c r="B24" s="14" t="s">
        <v>14</v>
      </c>
      <c r="C24" s="15"/>
      <c r="D24" s="9"/>
      <c r="E24" s="4"/>
      <c r="F24" s="30">
        <f>H5</f>
        <v>0</v>
      </c>
      <c r="G24" s="20">
        <f>IF(H24="",0,1)</f>
        <v>0</v>
      </c>
      <c r="H24" s="37">
        <f>IF((E11+E12+E14+E15+E16+E18+E20+E37+E38+E39+E40)&lt;(E24),"Warnung: zu viele LK 15a!","")</f>
      </c>
      <c r="J24" s="1" t="s">
        <v>100</v>
      </c>
      <c r="K24" s="38">
        <f>IF(E23+E24=0,0,(E24)/(E23+E24))</f>
        <v>0</v>
      </c>
      <c r="L24" s="10" t="s">
        <v>96</v>
      </c>
      <c r="R24" s="18">
        <f t="shared" si="1"/>
        <v>0</v>
      </c>
      <c r="S24" s="31"/>
      <c r="T24" s="31">
        <f t="shared" si="2"/>
        <v>0</v>
      </c>
      <c r="V24" s="31">
        <f t="shared" si="3"/>
        <v>0</v>
      </c>
      <c r="W24" s="32">
        <f t="shared" si="4"/>
        <v>0</v>
      </c>
      <c r="Y24" s="31">
        <f t="shared" si="5"/>
        <v>0</v>
      </c>
      <c r="Z24" s="31">
        <f t="shared" si="6"/>
        <v>0</v>
      </c>
      <c r="AR24" s="17">
        <f>E22</f>
        <v>0</v>
      </c>
    </row>
    <row r="25" spans="1:45" ht="12.75">
      <c r="A25" s="6">
        <v>16</v>
      </c>
      <c r="B25" s="14" t="s">
        <v>15</v>
      </c>
      <c r="C25" s="15"/>
      <c r="D25" s="2">
        <v>500</v>
      </c>
      <c r="E25" s="4"/>
      <c r="F25" s="30">
        <f>ROUND(B$5*D25,2)</f>
        <v>0</v>
      </c>
      <c r="R25" s="18"/>
      <c r="S25" s="18">
        <f>IF(B5=0,0,ROUND(F5/B5,0)*E23)</f>
        <v>0</v>
      </c>
      <c r="T25" s="31">
        <f t="shared" si="2"/>
        <v>0</v>
      </c>
      <c r="V25" s="31">
        <f>V3</f>
        <v>0</v>
      </c>
      <c r="W25" s="32">
        <f t="shared" si="4"/>
        <v>0</v>
      </c>
      <c r="Y25" s="31">
        <f>Y3</f>
        <v>0</v>
      </c>
      <c r="Z25" s="31">
        <f t="shared" si="6"/>
        <v>0</v>
      </c>
      <c r="AS25" s="17">
        <f>E23</f>
        <v>0</v>
      </c>
    </row>
    <row r="26" spans="1:46" ht="12.75">
      <c r="A26" s="6" t="s">
        <v>41</v>
      </c>
      <c r="B26" s="14" t="s">
        <v>29</v>
      </c>
      <c r="C26" s="15"/>
      <c r="D26" s="9"/>
      <c r="E26" s="4"/>
      <c r="F26" s="30">
        <v>21</v>
      </c>
      <c r="R26" s="18"/>
      <c r="S26" s="18">
        <f>IF(B5=0,0,ROUND(H5/B5,0)*E24)</f>
        <v>0</v>
      </c>
      <c r="T26" s="31">
        <f t="shared" si="2"/>
        <v>0</v>
      </c>
      <c r="V26" s="31">
        <f>V4</f>
        <v>0</v>
      </c>
      <c r="W26" s="32">
        <f t="shared" si="4"/>
        <v>0</v>
      </c>
      <c r="Y26" s="31">
        <f>Y4</f>
        <v>0</v>
      </c>
      <c r="Z26" s="31">
        <f t="shared" si="6"/>
        <v>0</v>
      </c>
      <c r="AT26" s="17">
        <f>E24</f>
        <v>0</v>
      </c>
    </row>
    <row r="27" spans="1:47" ht="12.75">
      <c r="A27" s="8" t="s">
        <v>42</v>
      </c>
      <c r="B27" s="14" t="s">
        <v>16</v>
      </c>
      <c r="C27" s="15"/>
      <c r="D27" s="9"/>
      <c r="E27" s="4"/>
      <c r="F27" s="30">
        <v>31</v>
      </c>
      <c r="R27" s="18">
        <f>D25*E25</f>
        <v>0</v>
      </c>
      <c r="S27" s="31"/>
      <c r="T27" s="31">
        <f t="shared" si="2"/>
        <v>0</v>
      </c>
      <c r="V27" s="31">
        <f>ROUND(V$2*D25,2)</f>
        <v>0</v>
      </c>
      <c r="W27" s="32">
        <f t="shared" si="4"/>
        <v>0</v>
      </c>
      <c r="Y27" s="31">
        <f>ROUND(Y$2*D25,2)</f>
        <v>0</v>
      </c>
      <c r="Z27" s="31">
        <f t="shared" si="6"/>
        <v>0</v>
      </c>
      <c r="AU27" s="17">
        <f>E25</f>
        <v>0</v>
      </c>
    </row>
    <row r="28" spans="1:48" ht="12.75">
      <c r="A28" s="6">
        <v>18</v>
      </c>
      <c r="B28" s="14" t="s">
        <v>17</v>
      </c>
      <c r="C28" s="15"/>
      <c r="D28" s="2">
        <v>610</v>
      </c>
      <c r="E28" s="4"/>
      <c r="F28" s="30">
        <f aca="true" t="shared" si="7" ref="F28:F40">ROUND(B$5*D28,2)</f>
        <v>0</v>
      </c>
      <c r="R28" s="18"/>
      <c r="S28" s="18">
        <f>IF(B5=0,0,ROUND(F26/B5,0)*E26)</f>
        <v>0</v>
      </c>
      <c r="T28" s="31">
        <f t="shared" si="2"/>
        <v>0</v>
      </c>
      <c r="V28" s="31">
        <f>F26</f>
        <v>21</v>
      </c>
      <c r="W28" s="32">
        <f t="shared" si="4"/>
        <v>0</v>
      </c>
      <c r="Y28" s="31">
        <f>V28</f>
        <v>21</v>
      </c>
      <c r="Z28" s="31">
        <f t="shared" si="6"/>
        <v>0</v>
      </c>
      <c r="AV28" s="17">
        <f>E26</f>
        <v>0</v>
      </c>
    </row>
    <row r="29" spans="1:50" ht="12.75">
      <c r="A29" s="6">
        <v>19</v>
      </c>
      <c r="B29" s="14" t="s">
        <v>114</v>
      </c>
      <c r="C29" s="15"/>
      <c r="D29" s="2">
        <v>450</v>
      </c>
      <c r="E29" s="4"/>
      <c r="F29" s="30">
        <f t="shared" si="7"/>
        <v>0</v>
      </c>
      <c r="R29" s="18"/>
      <c r="S29" s="18">
        <f>IF(B5=0,0,ROUND(F27/B5,0)*E27)</f>
        <v>0</v>
      </c>
      <c r="T29" s="31">
        <f t="shared" si="2"/>
        <v>0</v>
      </c>
      <c r="V29" s="31">
        <f>F27</f>
        <v>31</v>
      </c>
      <c r="W29" s="32">
        <f t="shared" si="4"/>
        <v>0</v>
      </c>
      <c r="Y29" s="31">
        <f>V29</f>
        <v>31</v>
      </c>
      <c r="Z29" s="31">
        <f t="shared" si="6"/>
        <v>0</v>
      </c>
      <c r="AX29" s="17">
        <f>E27</f>
        <v>0</v>
      </c>
    </row>
    <row r="30" spans="1:37" ht="12.75">
      <c r="A30" s="6">
        <v>20</v>
      </c>
      <c r="B30" s="14" t="s">
        <v>18</v>
      </c>
      <c r="C30" s="15"/>
      <c r="D30" s="2">
        <v>450</v>
      </c>
      <c r="E30" s="4"/>
      <c r="F30" s="30">
        <f t="shared" si="7"/>
        <v>0</v>
      </c>
      <c r="R30" s="18">
        <f aca="true" t="shared" si="8" ref="R30:R42">D28*E28</f>
        <v>0</v>
      </c>
      <c r="S30" s="31"/>
      <c r="T30" s="31">
        <f t="shared" si="2"/>
        <v>0</v>
      </c>
      <c r="V30" s="31">
        <f aca="true" t="shared" si="9" ref="V30:V42">ROUND(V$2*D28,2)</f>
        <v>0</v>
      </c>
      <c r="W30" s="32">
        <f t="shared" si="4"/>
        <v>0</v>
      </c>
      <c r="Y30" s="31">
        <f aca="true" t="shared" si="10" ref="Y30:Y42">ROUND(Y$2*D28,2)</f>
        <v>0</v>
      </c>
      <c r="Z30" s="31">
        <f t="shared" si="6"/>
        <v>0</v>
      </c>
      <c r="AC30" s="17">
        <f>E28</f>
        <v>0</v>
      </c>
      <c r="AE30" s="17">
        <f>E28</f>
        <v>0</v>
      </c>
      <c r="AG30" s="17">
        <f aca="true" t="shared" si="11" ref="AG30:AG40">E28</f>
        <v>0</v>
      </c>
      <c r="AH30" s="17">
        <f>E28</f>
        <v>0</v>
      </c>
      <c r="AK30" s="17">
        <f>E28</f>
        <v>0</v>
      </c>
    </row>
    <row r="31" spans="1:33" ht="12.75">
      <c r="A31" s="6">
        <v>21</v>
      </c>
      <c r="B31" s="14" t="s">
        <v>19</v>
      </c>
      <c r="C31" s="15"/>
      <c r="D31" s="2">
        <v>290</v>
      </c>
      <c r="E31" s="4"/>
      <c r="F31" s="30">
        <f t="shared" si="7"/>
        <v>0</v>
      </c>
      <c r="R31" s="18">
        <f t="shared" si="8"/>
        <v>0</v>
      </c>
      <c r="S31" s="31"/>
      <c r="T31" s="31">
        <f t="shared" si="2"/>
        <v>0</v>
      </c>
      <c r="V31" s="31">
        <f t="shared" si="9"/>
        <v>0</v>
      </c>
      <c r="W31" s="32">
        <f t="shared" si="4"/>
        <v>0</v>
      </c>
      <c r="Y31" s="31">
        <f t="shared" si="10"/>
        <v>0</v>
      </c>
      <c r="Z31" s="31">
        <f t="shared" si="6"/>
        <v>0</v>
      </c>
      <c r="AE31" s="17">
        <f>E29</f>
        <v>0</v>
      </c>
      <c r="AG31" s="17">
        <f t="shared" si="11"/>
        <v>0</v>
      </c>
    </row>
    <row r="32" spans="1:37" ht="12.75">
      <c r="A32" s="6">
        <v>22</v>
      </c>
      <c r="B32" s="14" t="s">
        <v>20</v>
      </c>
      <c r="C32" s="15"/>
      <c r="D32" s="2">
        <v>760</v>
      </c>
      <c r="E32" s="4"/>
      <c r="F32" s="30">
        <f t="shared" si="7"/>
        <v>0</v>
      </c>
      <c r="R32" s="18">
        <f t="shared" si="8"/>
        <v>0</v>
      </c>
      <c r="S32" s="31"/>
      <c r="T32" s="31">
        <f t="shared" si="2"/>
        <v>0</v>
      </c>
      <c r="V32" s="31">
        <f t="shared" si="9"/>
        <v>0</v>
      </c>
      <c r="W32" s="32">
        <f t="shared" si="4"/>
        <v>0</v>
      </c>
      <c r="Y32" s="31">
        <f t="shared" si="10"/>
        <v>0</v>
      </c>
      <c r="Z32" s="31">
        <f t="shared" si="6"/>
        <v>0</v>
      </c>
      <c r="AC32" s="17">
        <f>E30</f>
        <v>0</v>
      </c>
      <c r="AF32" s="17">
        <f>E30</f>
        <v>0</v>
      </c>
      <c r="AG32" s="17">
        <f t="shared" si="11"/>
        <v>0</v>
      </c>
      <c r="AH32" s="17">
        <f>E30</f>
        <v>0</v>
      </c>
      <c r="AK32" s="17">
        <f>E30</f>
        <v>0</v>
      </c>
    </row>
    <row r="33" spans="1:33" ht="12.75">
      <c r="A33" s="6">
        <v>23</v>
      </c>
      <c r="B33" s="14" t="s">
        <v>21</v>
      </c>
      <c r="C33" s="15"/>
      <c r="D33" s="2">
        <v>520</v>
      </c>
      <c r="E33" s="4"/>
      <c r="F33" s="30">
        <f t="shared" si="7"/>
        <v>0</v>
      </c>
      <c r="R33" s="18">
        <f t="shared" si="8"/>
        <v>0</v>
      </c>
      <c r="S33" s="31"/>
      <c r="T33" s="31">
        <f t="shared" si="2"/>
        <v>0</v>
      </c>
      <c r="V33" s="31">
        <f t="shared" si="9"/>
        <v>0</v>
      </c>
      <c r="W33" s="32">
        <f t="shared" si="4"/>
        <v>0</v>
      </c>
      <c r="Y33" s="31">
        <f t="shared" si="10"/>
        <v>0</v>
      </c>
      <c r="Z33" s="31">
        <f t="shared" si="6"/>
        <v>0</v>
      </c>
      <c r="AF33" s="17">
        <f>E31</f>
        <v>0</v>
      </c>
      <c r="AG33" s="17">
        <f t="shared" si="11"/>
        <v>0</v>
      </c>
    </row>
    <row r="34" spans="1:44" ht="12.75">
      <c r="A34" s="6">
        <v>24</v>
      </c>
      <c r="B34" s="14" t="s">
        <v>22</v>
      </c>
      <c r="C34" s="15"/>
      <c r="D34" s="2">
        <v>740</v>
      </c>
      <c r="E34" s="4"/>
      <c r="F34" s="30">
        <f t="shared" si="7"/>
        <v>0</v>
      </c>
      <c r="R34" s="18">
        <f t="shared" si="8"/>
        <v>0</v>
      </c>
      <c r="S34" s="31"/>
      <c r="T34" s="31">
        <f t="shared" si="2"/>
        <v>0</v>
      </c>
      <c r="V34" s="31">
        <f t="shared" si="9"/>
        <v>0</v>
      </c>
      <c r="W34" s="32">
        <f t="shared" si="4"/>
        <v>0</v>
      </c>
      <c r="Y34" s="31">
        <f t="shared" si="10"/>
        <v>0</v>
      </c>
      <c r="Z34" s="31">
        <f t="shared" si="6"/>
        <v>0</v>
      </c>
      <c r="AG34" s="17">
        <f t="shared" si="11"/>
        <v>0</v>
      </c>
      <c r="AQ34" s="17">
        <f>E32</f>
        <v>0</v>
      </c>
      <c r="AR34" s="17">
        <f>E32</f>
        <v>0</v>
      </c>
    </row>
    <row r="35" spans="1:37" ht="12.75">
      <c r="A35" s="6">
        <v>25</v>
      </c>
      <c r="B35" s="14" t="s">
        <v>23</v>
      </c>
      <c r="C35" s="15"/>
      <c r="D35" s="2">
        <v>350</v>
      </c>
      <c r="E35" s="4"/>
      <c r="F35" s="30">
        <f t="shared" si="7"/>
        <v>0</v>
      </c>
      <c r="R35" s="18">
        <f t="shared" si="8"/>
        <v>0</v>
      </c>
      <c r="S35" s="31"/>
      <c r="T35" s="31">
        <f t="shared" si="2"/>
        <v>0</v>
      </c>
      <c r="V35" s="31">
        <f t="shared" si="9"/>
        <v>0</v>
      </c>
      <c r="W35" s="32">
        <f t="shared" si="4"/>
        <v>0</v>
      </c>
      <c r="Y35" s="31">
        <f t="shared" si="10"/>
        <v>0</v>
      </c>
      <c r="Z35" s="31">
        <f t="shared" si="6"/>
        <v>0</v>
      </c>
      <c r="AC35" s="17">
        <f>E33</f>
        <v>0</v>
      </c>
      <c r="AE35" s="17">
        <f>E33</f>
        <v>0</v>
      </c>
      <c r="AG35" s="17">
        <f t="shared" si="11"/>
        <v>0</v>
      </c>
      <c r="AK35" s="17">
        <f>E33</f>
        <v>0</v>
      </c>
    </row>
    <row r="36" spans="1:37" ht="12.75">
      <c r="A36" s="6">
        <v>26</v>
      </c>
      <c r="B36" s="14" t="s">
        <v>113</v>
      </c>
      <c r="C36" s="15"/>
      <c r="D36" s="2">
        <v>580</v>
      </c>
      <c r="E36" s="4"/>
      <c r="F36" s="30">
        <f t="shared" si="7"/>
        <v>0</v>
      </c>
      <c r="R36" s="18">
        <f t="shared" si="8"/>
        <v>0</v>
      </c>
      <c r="S36" s="31"/>
      <c r="T36" s="31">
        <f t="shared" si="2"/>
        <v>0</v>
      </c>
      <c r="V36" s="31">
        <f t="shared" si="9"/>
        <v>0</v>
      </c>
      <c r="W36" s="32">
        <f t="shared" si="4"/>
        <v>0</v>
      </c>
      <c r="Y36" s="31">
        <f t="shared" si="10"/>
        <v>0</v>
      </c>
      <c r="Z36" s="31">
        <f t="shared" si="6"/>
        <v>0</v>
      </c>
      <c r="AC36" s="17">
        <f>E34</f>
        <v>0</v>
      </c>
      <c r="AE36" s="17">
        <f>E34</f>
        <v>0</v>
      </c>
      <c r="AG36" s="17">
        <f t="shared" si="11"/>
        <v>0</v>
      </c>
      <c r="AI36" s="17">
        <f>E34</f>
        <v>0</v>
      </c>
      <c r="AK36" s="17">
        <f>E34</f>
        <v>0</v>
      </c>
    </row>
    <row r="37" spans="1:37" ht="12.75">
      <c r="A37" s="6">
        <v>27</v>
      </c>
      <c r="B37" s="14" t="s">
        <v>24</v>
      </c>
      <c r="C37" s="15"/>
      <c r="D37" s="2">
        <v>100</v>
      </c>
      <c r="E37" s="4"/>
      <c r="F37" s="30">
        <f t="shared" si="7"/>
        <v>0</v>
      </c>
      <c r="R37" s="18">
        <f t="shared" si="8"/>
        <v>0</v>
      </c>
      <c r="S37" s="31"/>
      <c r="T37" s="31">
        <f t="shared" si="2"/>
        <v>0</v>
      </c>
      <c r="V37" s="31">
        <f t="shared" si="9"/>
        <v>0</v>
      </c>
      <c r="W37" s="32">
        <f t="shared" si="4"/>
        <v>0</v>
      </c>
      <c r="Y37" s="31">
        <f t="shared" si="10"/>
        <v>0</v>
      </c>
      <c r="Z37" s="31">
        <f t="shared" si="6"/>
        <v>0</v>
      </c>
      <c r="AC37" s="17">
        <f>E35</f>
        <v>0</v>
      </c>
      <c r="AF37" s="17">
        <f>E35</f>
        <v>0</v>
      </c>
      <c r="AG37" s="17">
        <f t="shared" si="11"/>
        <v>0</v>
      </c>
      <c r="AK37" s="17">
        <f>E35</f>
        <v>0</v>
      </c>
    </row>
    <row r="38" spans="1:33" ht="12.75">
      <c r="A38" s="6">
        <v>28</v>
      </c>
      <c r="B38" s="14" t="s">
        <v>25</v>
      </c>
      <c r="C38" s="15"/>
      <c r="D38" s="2">
        <v>100</v>
      </c>
      <c r="E38" s="4"/>
      <c r="F38" s="30">
        <f t="shared" si="7"/>
        <v>0</v>
      </c>
      <c r="R38" s="18">
        <f t="shared" si="8"/>
        <v>0</v>
      </c>
      <c r="S38" s="31"/>
      <c r="T38" s="31">
        <f t="shared" si="2"/>
        <v>0</v>
      </c>
      <c r="V38" s="31">
        <f t="shared" si="9"/>
        <v>0</v>
      </c>
      <c r="W38" s="32">
        <f t="shared" si="4"/>
        <v>0</v>
      </c>
      <c r="Y38" s="31">
        <f t="shared" si="10"/>
        <v>0</v>
      </c>
      <c r="Z38" s="31">
        <f t="shared" si="6"/>
        <v>0</v>
      </c>
      <c r="AG38" s="17">
        <f t="shared" si="11"/>
        <v>0</v>
      </c>
    </row>
    <row r="39" spans="1:52" ht="12.75">
      <c r="A39" s="6">
        <v>29</v>
      </c>
      <c r="B39" s="14" t="s">
        <v>26</v>
      </c>
      <c r="C39" s="15"/>
      <c r="D39" s="2">
        <v>170</v>
      </c>
      <c r="E39" s="4"/>
      <c r="F39" s="30">
        <f t="shared" si="7"/>
        <v>0</v>
      </c>
      <c r="R39" s="18">
        <f t="shared" si="8"/>
        <v>0</v>
      </c>
      <c r="S39" s="31"/>
      <c r="T39" s="31">
        <f t="shared" si="2"/>
        <v>0</v>
      </c>
      <c r="V39" s="31">
        <f t="shared" si="9"/>
        <v>0</v>
      </c>
      <c r="W39" s="32">
        <f t="shared" si="4"/>
        <v>0</v>
      </c>
      <c r="Y39" s="31">
        <f t="shared" si="10"/>
        <v>0</v>
      </c>
      <c r="Z39" s="31">
        <f t="shared" si="6"/>
        <v>0</v>
      </c>
      <c r="AG39" s="17">
        <f t="shared" si="11"/>
        <v>0</v>
      </c>
      <c r="AZ39" s="17">
        <f>E37</f>
        <v>0</v>
      </c>
    </row>
    <row r="40" spans="1:53" ht="12.75">
      <c r="A40" s="6">
        <v>30</v>
      </c>
      <c r="B40" s="14" t="s">
        <v>27</v>
      </c>
      <c r="C40" s="15"/>
      <c r="D40" s="2">
        <v>80</v>
      </c>
      <c r="E40" s="4"/>
      <c r="F40" s="30">
        <f t="shared" si="7"/>
        <v>0</v>
      </c>
      <c r="R40" s="18">
        <f t="shared" si="8"/>
        <v>0</v>
      </c>
      <c r="S40" s="31"/>
      <c r="T40" s="31">
        <f t="shared" si="2"/>
        <v>0</v>
      </c>
      <c r="V40" s="31">
        <f t="shared" si="9"/>
        <v>0</v>
      </c>
      <c r="W40" s="32">
        <f t="shared" si="4"/>
        <v>0</v>
      </c>
      <c r="Y40" s="31">
        <f t="shared" si="10"/>
        <v>0</v>
      </c>
      <c r="Z40" s="31">
        <f t="shared" si="6"/>
        <v>0</v>
      </c>
      <c r="AG40" s="17">
        <f t="shared" si="11"/>
        <v>0</v>
      </c>
      <c r="BA40" s="17">
        <f>E38</f>
        <v>0</v>
      </c>
    </row>
    <row r="41" spans="2:53" ht="12.75">
      <c r="B41" s="10" t="s">
        <v>43</v>
      </c>
      <c r="E41" s="11">
        <f>SUM(E9:E40)</f>
        <v>0</v>
      </c>
      <c r="H41" s="49" t="s">
        <v>103</v>
      </c>
      <c r="I41" s="38">
        <f>IF(AC44=0,0,(SUM(E9:E22)+SUM(E37:E38)+E40)/AC44)</f>
        <v>0</v>
      </c>
      <c r="J41" s="10" t="s">
        <v>99</v>
      </c>
      <c r="R41" s="18">
        <f t="shared" si="8"/>
        <v>0</v>
      </c>
      <c r="S41" s="31"/>
      <c r="T41" s="31">
        <f t="shared" si="2"/>
        <v>0</v>
      </c>
      <c r="V41" s="31">
        <f t="shared" si="9"/>
        <v>0</v>
      </c>
      <c r="W41" s="32">
        <f t="shared" si="4"/>
        <v>0</v>
      </c>
      <c r="Y41" s="31">
        <f t="shared" si="10"/>
        <v>0</v>
      </c>
      <c r="Z41" s="31">
        <f t="shared" si="6"/>
        <v>0</v>
      </c>
      <c r="AZ41" s="17">
        <f>E39</f>
        <v>0</v>
      </c>
      <c r="BA41" s="17">
        <f>E39</f>
        <v>0</v>
      </c>
    </row>
    <row r="42" spans="18:54" ht="12.75">
      <c r="R42" s="18">
        <f t="shared" si="8"/>
        <v>0</v>
      </c>
      <c r="S42" s="31"/>
      <c r="T42" s="31">
        <f t="shared" si="2"/>
        <v>0</v>
      </c>
      <c r="V42" s="31">
        <f t="shared" si="9"/>
        <v>0</v>
      </c>
      <c r="W42" s="32">
        <f t="shared" si="4"/>
        <v>0</v>
      </c>
      <c r="Y42" s="31">
        <f t="shared" si="10"/>
        <v>0</v>
      </c>
      <c r="Z42" s="31">
        <f t="shared" si="6"/>
        <v>0</v>
      </c>
      <c r="BB42" s="17">
        <f>E40</f>
        <v>0</v>
      </c>
    </row>
    <row r="43" spans="1:54" ht="12.75">
      <c r="A43" s="10" t="s">
        <v>30</v>
      </c>
      <c r="R43" s="18">
        <f>SUM(R11:R42)</f>
        <v>0</v>
      </c>
      <c r="T43" s="31">
        <f>SUM(T11:T42)</f>
        <v>0</v>
      </c>
      <c r="W43" s="31">
        <f>SUM(W11:W42)</f>
        <v>0</v>
      </c>
      <c r="Z43" s="31">
        <f>SUM(Z11:Z42)</f>
        <v>0</v>
      </c>
      <c r="AC43" s="17">
        <f>SUM(AC11:AC42)</f>
        <v>0</v>
      </c>
      <c r="AD43" s="17" t="s">
        <v>88</v>
      </c>
      <c r="AE43" s="17">
        <f aca="true" t="shared" si="12" ref="AE43:AV43">SUM(AE11:AE42)</f>
        <v>0</v>
      </c>
      <c r="AF43" s="17">
        <f t="shared" si="12"/>
        <v>0</v>
      </c>
      <c r="AG43" s="17">
        <f t="shared" si="12"/>
        <v>0</v>
      </c>
      <c r="AH43" s="17">
        <f t="shared" si="12"/>
        <v>0</v>
      </c>
      <c r="AI43" s="17">
        <f t="shared" si="12"/>
        <v>0</v>
      </c>
      <c r="AJ43" s="17">
        <f t="shared" si="12"/>
        <v>0</v>
      </c>
      <c r="AK43" s="17">
        <f t="shared" si="12"/>
        <v>0</v>
      </c>
      <c r="AL43" s="17">
        <f t="shared" si="12"/>
        <v>0</v>
      </c>
      <c r="AM43" s="17">
        <f t="shared" si="12"/>
        <v>0</v>
      </c>
      <c r="AN43" s="17">
        <f t="shared" si="12"/>
        <v>0</v>
      </c>
      <c r="AO43" s="17">
        <f t="shared" si="12"/>
        <v>0</v>
      </c>
      <c r="AP43" s="17">
        <f t="shared" si="12"/>
        <v>0</v>
      </c>
      <c r="AQ43" s="17">
        <f t="shared" si="12"/>
        <v>0</v>
      </c>
      <c r="AR43" s="17">
        <f t="shared" si="12"/>
        <v>0</v>
      </c>
      <c r="AS43" s="17">
        <f t="shared" si="12"/>
        <v>0</v>
      </c>
      <c r="AT43" s="17">
        <f t="shared" si="12"/>
        <v>0</v>
      </c>
      <c r="AU43" s="17">
        <f t="shared" si="12"/>
        <v>0</v>
      </c>
      <c r="AV43" s="17">
        <f t="shared" si="12"/>
        <v>0</v>
      </c>
      <c r="AX43" s="17">
        <f>SUM(AX11:AX42)</f>
        <v>0</v>
      </c>
      <c r="AZ43" s="17">
        <f>SUM(AZ11:AZ42)</f>
        <v>0</v>
      </c>
      <c r="BA43" s="17">
        <f>SUM(BA11:BA42)</f>
        <v>0</v>
      </c>
      <c r="BB43" s="17">
        <f>SUM(BB11:BB42)</f>
        <v>0</v>
      </c>
    </row>
    <row r="44" spans="19:31" ht="12.75">
      <c r="S44" s="18">
        <f>SUM(S25:S43)</f>
        <v>0</v>
      </c>
      <c r="W44" s="31">
        <f>W43-T43</f>
        <v>0</v>
      </c>
      <c r="Z44" s="31">
        <f>Z43-T43</f>
        <v>0</v>
      </c>
      <c r="AB44" s="18" t="s">
        <v>92</v>
      </c>
      <c r="AC44" s="17">
        <f>SUM(E9:E22)+SUM(E28:E40)</f>
        <v>0</v>
      </c>
      <c r="AE44" s="17" t="s">
        <v>89</v>
      </c>
    </row>
    <row r="45" spans="1:31" ht="12.75">
      <c r="A45" s="10" t="s">
        <v>64</v>
      </c>
      <c r="F45" s="10" t="s">
        <v>116</v>
      </c>
      <c r="G45" s="10" t="s">
        <v>117</v>
      </c>
      <c r="H45" s="10" t="s">
        <v>51</v>
      </c>
      <c r="J45" s="10" t="s">
        <v>118</v>
      </c>
      <c r="U45" s="20" t="s">
        <v>53</v>
      </c>
      <c r="W45" s="39">
        <f>IF(T43=0,0,(W43-T43)/T43)</f>
        <v>0</v>
      </c>
      <c r="Z45" s="40">
        <f>IF(T43=0,0,(Z43-T43)/T43)</f>
        <v>0</v>
      </c>
      <c r="AB45" s="18" t="s">
        <v>93</v>
      </c>
      <c r="AC45" s="19">
        <f>IF(AC44=0,0,AC43/AC44)</f>
        <v>0</v>
      </c>
      <c r="AE45" s="17">
        <f>SUM(AE43:AR43)+AZ43+BA43+BB43</f>
        <v>0</v>
      </c>
    </row>
    <row r="46" spans="6:31" ht="12.75">
      <c r="F46" s="10" t="s">
        <v>54</v>
      </c>
      <c r="G46" s="10" t="s">
        <v>58</v>
      </c>
      <c r="H46" s="41" t="s">
        <v>28</v>
      </c>
      <c r="J46" s="10" t="s">
        <v>28</v>
      </c>
      <c r="S46" s="18"/>
      <c r="AC46" s="19"/>
      <c r="AE46" s="17" t="s">
        <v>90</v>
      </c>
    </row>
    <row r="47" spans="1:31" ht="12.75">
      <c r="A47" s="10" t="s">
        <v>119</v>
      </c>
      <c r="F47" s="5" t="s">
        <v>55</v>
      </c>
      <c r="G47" s="33">
        <f>IF(V58=1,H56,"")</f>
        <v>0.02</v>
      </c>
      <c r="H47" s="42">
        <f>V2</f>
        <v>0</v>
      </c>
      <c r="I47" s="3" t="s">
        <v>38</v>
      </c>
      <c r="J47" s="50"/>
      <c r="S47" s="18"/>
      <c r="W47" s="20" t="str">
        <f>IF(W61=1,IF(H56-W45&lt;0,Z50,Z51),IF(W61=2,IF(H58-W45&lt;0,Z50,Z51),IF(W61=3,IF(H60-W45&lt;0,Z50,Z51),Z52)))</f>
        <v>Budgetsteigerung in Ordnung</v>
      </c>
      <c r="Z47" s="20" t="str">
        <f>IF(W61=1,IF(H56-Z45&lt;0,Z50,Z51),IF(W61=2,IF(H58-Z45&lt;0,Z50,Z51),IF(W61=3,IF(H60-Z45&lt;0,Z50,Z51),Z52)))</f>
        <v>Budgetsteigerung in Ordnung</v>
      </c>
      <c r="AB47" s="20" t="s">
        <v>94</v>
      </c>
      <c r="AC47" s="19">
        <f>IF(E23+E24=0,0,AC43/(E23+E24))</f>
        <v>0</v>
      </c>
      <c r="AE47" s="17" t="s">
        <v>91</v>
      </c>
    </row>
    <row r="48" spans="1:32" ht="12.75">
      <c r="A48" s="10" t="s">
        <v>120</v>
      </c>
      <c r="F48" s="5"/>
      <c r="G48" s="33">
        <f>IF(V59=1,H58,"")</f>
      </c>
      <c r="H48" s="43">
        <f>V3</f>
        <v>0</v>
      </c>
      <c r="I48" s="3" t="s">
        <v>37</v>
      </c>
      <c r="J48" s="13"/>
      <c r="S48" s="18"/>
      <c r="W48" s="20">
        <f>IF(W61=1,IF(H56-W45&lt;0,1,0),IF(W61=2,IF(H58-W45&lt;0,1,0),IF(W61=3,IF(H60-W45&lt;0,1,0),IF(W45&gt;0,1,0))))</f>
        <v>0</v>
      </c>
      <c r="Z48" s="20">
        <f>IF(W61=1,IF(H56-Z45&lt;0,1,0),IF(W61=2,IF(H58-Z45&lt;0,1,0),IF(W61=3,IF(H60-Z45&lt;0,1,0),IF(Z45&gt;0,1,0))))</f>
        <v>0</v>
      </c>
      <c r="AC48" s="19"/>
      <c r="AE48" s="17">
        <f>AK43</f>
        <v>0</v>
      </c>
      <c r="AF48" s="21">
        <f>IF(AE45=0,0,AE48/AE45)</f>
        <v>0</v>
      </c>
    </row>
    <row r="49" spans="1:29" ht="12.75">
      <c r="A49" s="10" t="str">
        <f>"Mit Budgetbetrachtung mit Anlage 1 und "&amp;C60&amp;" Monaten Mindestbindung"</f>
        <v>Mit Budgetbetrachtung mit Anlage 1 und 24 Monaten Mindestbindung</v>
      </c>
      <c r="F49" s="5"/>
      <c r="G49" s="33">
        <f>IF(V60=1,H60,"")</f>
      </c>
      <c r="H49" s="43">
        <f>V4</f>
        <v>0</v>
      </c>
      <c r="I49" s="3" t="s">
        <v>39</v>
      </c>
      <c r="J49" s="13"/>
      <c r="AB49" s="20" t="s">
        <v>95</v>
      </c>
      <c r="AC49" s="19">
        <f>IF(E23=0,0,AC43/E23)</f>
        <v>0</v>
      </c>
    </row>
    <row r="50" spans="5:31" ht="12.75">
      <c r="E50" s="10">
        <f>IF(V61&gt;1,"Bitte nur eine Wahl nutzen","")</f>
      </c>
      <c r="H50" s="10" t="str">
        <f>W47</f>
        <v>Budgetsteigerung in Ordnung</v>
      </c>
      <c r="J50" s="10" t="str">
        <f>Z47</f>
        <v>Budgetsteigerung in Ordnung</v>
      </c>
      <c r="Z50" s="20" t="s">
        <v>61</v>
      </c>
      <c r="AE50" s="21"/>
    </row>
    <row r="51" spans="8:26" ht="12.75">
      <c r="H51" s="44">
        <f>ROUND(W45,6)</f>
        <v>0</v>
      </c>
      <c r="J51" s="45">
        <f>ROUND(Z45,6)</f>
        <v>0</v>
      </c>
      <c r="Z51" s="20" t="s">
        <v>62</v>
      </c>
    </row>
    <row r="52" ht="12.75">
      <c r="Z52" s="20" t="s">
        <v>63</v>
      </c>
    </row>
    <row r="53" spans="1:10" ht="12.75">
      <c r="A53" s="10" t="s">
        <v>31</v>
      </c>
      <c r="F53" s="10" t="s">
        <v>32</v>
      </c>
      <c r="H53" s="10" t="s">
        <v>33</v>
      </c>
      <c r="J53" s="10" t="s">
        <v>112</v>
      </c>
    </row>
    <row r="54" spans="8:19" ht="12.75">
      <c r="H54" s="10" t="s">
        <v>34</v>
      </c>
      <c r="S54" s="32"/>
    </row>
    <row r="55" spans="1:19" ht="12.75">
      <c r="A55" s="10" t="str">
        <f>"Ohne Anlage 1 und "&amp;C56&amp;" Monate Mindestbindung"</f>
        <v>Ohne Anlage 1 und 12 Monate Mindestbindung</v>
      </c>
      <c r="S55" s="32"/>
    </row>
    <row r="56" spans="1:19" ht="12.75">
      <c r="A56" s="38">
        <v>0.02</v>
      </c>
      <c r="B56" s="10" t="s">
        <v>36</v>
      </c>
      <c r="C56" s="23">
        <v>12</v>
      </c>
      <c r="D56" s="10" t="s">
        <v>35</v>
      </c>
      <c r="F56" s="45">
        <f>A56</f>
        <v>0.02</v>
      </c>
      <c r="H56" s="33">
        <f>ROUND(F56,4)</f>
        <v>0.02</v>
      </c>
      <c r="J56" s="47">
        <f>B5*(1+H56)</f>
        <v>0</v>
      </c>
      <c r="S56" s="32"/>
    </row>
    <row r="57" spans="1:6" ht="12.75">
      <c r="A57" s="10" t="str">
        <f>"Mit Anlage 1 und "&amp;C58&amp;" Monate Mindestbindung"</f>
        <v>Mit Anlage 1 und 12 Monate Mindestbindung</v>
      </c>
      <c r="D57" s="46"/>
      <c r="F57" s="45"/>
    </row>
    <row r="58" spans="1:23" ht="12.75">
      <c r="A58" s="33">
        <v>0.028</v>
      </c>
      <c r="B58" s="10" t="s">
        <v>36</v>
      </c>
      <c r="C58" s="10">
        <f>C56</f>
        <v>12</v>
      </c>
      <c r="D58" s="10" t="s">
        <v>35</v>
      </c>
      <c r="F58" s="45">
        <f>A58</f>
        <v>0.028</v>
      </c>
      <c r="H58" s="33">
        <f>ROUND(F58,4)</f>
        <v>0.028</v>
      </c>
      <c r="J58" s="47">
        <f>B5*(1+H58)</f>
        <v>0</v>
      </c>
      <c r="V58" s="20">
        <f>IF(F47=O$1,1,0)</f>
        <v>1</v>
      </c>
      <c r="W58" s="20">
        <f>IF(F47=O$1,1,0)</f>
        <v>1</v>
      </c>
    </row>
    <row r="59" spans="1:23" ht="12.75">
      <c r="A59" s="10" t="str">
        <f>"Mit Anlage 1 und "&amp;C60&amp;" Monate Mindestbindung"</f>
        <v>Mit Anlage 1 und 24 Monate Mindestbindung</v>
      </c>
      <c r="D59" s="46"/>
      <c r="F59" s="45"/>
      <c r="S59" s="18"/>
      <c r="V59" s="20">
        <f>IF(F48=O$1,1,0)</f>
        <v>0</v>
      </c>
      <c r="W59" s="20">
        <f>IF(F48=O$1,2,0)</f>
        <v>0</v>
      </c>
    </row>
    <row r="60" spans="1:23" ht="12.75">
      <c r="A60" s="33">
        <v>0.036</v>
      </c>
      <c r="B60" s="10" t="s">
        <v>36</v>
      </c>
      <c r="C60" s="16">
        <v>24</v>
      </c>
      <c r="D60" s="10" t="s">
        <v>35</v>
      </c>
      <c r="F60" s="45">
        <f>A60/24*C60</f>
        <v>0.036</v>
      </c>
      <c r="H60" s="33">
        <f>ROUND(F60,4)</f>
        <v>0.036</v>
      </c>
      <c r="J60" s="47">
        <f>B5*(1+H60)</f>
        <v>0</v>
      </c>
      <c r="S60" s="18"/>
      <c r="V60" s="20">
        <f>IF(F49=O$1,1,0)</f>
        <v>0</v>
      </c>
      <c r="W60" s="20">
        <f>IF(F49=O$1,3,0)</f>
        <v>0</v>
      </c>
    </row>
    <row r="61" spans="22:23" ht="12.75">
      <c r="V61" s="20">
        <f>SUM(V58:V60)</f>
        <v>1</v>
      </c>
      <c r="W61" s="20">
        <f>SUM(W58:W60)</f>
        <v>1</v>
      </c>
    </row>
    <row r="62" ht="12.75">
      <c r="S62" s="18"/>
    </row>
    <row r="63" ht="12.75">
      <c r="S63" s="18"/>
    </row>
    <row r="64" ht="12.75"/>
    <row r="65" ht="12.75"/>
    <row r="66" ht="12.75">
      <c r="S66" s="32"/>
    </row>
    <row r="67" ht="12.75">
      <c r="S67" s="32"/>
    </row>
  </sheetData>
  <sheetProtection password="CD10" sheet="1" objects="1" scenarios="1"/>
  <mergeCells count="1">
    <mergeCell ref="A1:K1"/>
  </mergeCells>
  <conditionalFormatting sqref="J47:J49">
    <cfRule type="expression" priority="11" dxfId="1">
      <formula>$Z$48=1</formula>
    </cfRule>
  </conditionalFormatting>
  <conditionalFormatting sqref="H23">
    <cfRule type="expression" priority="3" dxfId="1">
      <formula>$G$23</formula>
    </cfRule>
  </conditionalFormatting>
  <conditionalFormatting sqref="H24">
    <cfRule type="expression" priority="2" dxfId="1">
      <formula>$G$24=1</formula>
    </cfRule>
  </conditionalFormatting>
  <conditionalFormatting sqref="H47:H49">
    <cfRule type="expression" priority="1" dxfId="1">
      <formula>$W$48=1</formula>
    </cfRule>
  </conditionalFormatting>
  <conditionalFormatting sqref="F47:F49">
    <cfRule type="expression" priority="14" dxfId="1">
      <formula>$V$61&gt;1</formula>
    </cfRule>
    <cfRule type="expression" priority="15" dxfId="0">
      <formula>$V$61=1</formula>
    </cfRule>
  </conditionalFormatting>
  <dataValidations count="2">
    <dataValidation type="list" allowBlank="1" showInputMessage="1" showErrorMessage="1" sqref="F47:F49">
      <formula1>$O$1:$O$2</formula1>
    </dataValidation>
    <dataValidation type="whole" allowBlank="1" showInputMessage="1" showErrorMessage="1" errorTitle="Mindestbindungsfrist" error="Bitte die Angaben überprüfen:  Die Anzahl der Monate für die &quot;Mindestbindung&quot; in dieser Zelle muss mindestens 19 und darf höchstens 24 Monate betragen." sqref="C60">
      <formula1>19</formula1>
      <formula2>24</formula2>
    </dataValidation>
  </dataValidations>
  <printOptions/>
  <pageMargins left="0.5118110236220472" right="0.5118110236220472" top="0.5905511811023623" bottom="0.5905511811023623"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Jens Hofer</dc:creator>
  <cp:keywords/>
  <dc:description/>
  <cp:lastModifiedBy>Jana Wriedt</cp:lastModifiedBy>
  <cp:lastPrinted>2013-09-23T14:48:48Z</cp:lastPrinted>
  <dcterms:created xsi:type="dcterms:W3CDTF">1999-09-27T22:23:00Z</dcterms:created>
  <dcterms:modified xsi:type="dcterms:W3CDTF">2015-09-16T10:39:17Z</dcterms:modified>
  <cp:category/>
  <cp:version/>
  <cp:contentType/>
  <cp:contentStatus/>
</cp:coreProperties>
</file>